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<sst xmlns="http://schemas.openxmlformats.org/spreadsheetml/2006/main" count="215" uniqueCount="90">
  <si>
    <t>Наименование</t>
  </si>
  <si>
    <t>BasicMilk / Основной режим подачи молока</t>
  </si>
  <si>
    <t>EasyMilk / Простой режим подачи молока</t>
  </si>
  <si>
    <t>ActiveMilk / Активный режим подачи молока</t>
  </si>
  <si>
    <t>BasicSteam / Основной режим подачи пара</t>
  </si>
  <si>
    <t>wmf 900</t>
  </si>
  <si>
    <t>03.0400.1021</t>
  </si>
  <si>
    <t>wmf 1000</t>
  </si>
  <si>
    <t>03.0500.1003</t>
  </si>
  <si>
    <t>wmf 1200s</t>
  </si>
  <si>
    <t>03.1200.0100</t>
  </si>
  <si>
    <t>03.1200.0680</t>
  </si>
  <si>
    <t>03.1200.5010</t>
  </si>
  <si>
    <t>03.1200.0200</t>
  </si>
  <si>
    <t>03.1200.0410</t>
  </si>
  <si>
    <t>03.1200.5011</t>
  </si>
  <si>
    <t>03.1200.0300</t>
  </si>
  <si>
    <t>03.1200.0407</t>
  </si>
  <si>
    <t>03.1200.5012</t>
  </si>
  <si>
    <t>03.1200.0047</t>
  </si>
  <si>
    <t>03.1200.0042</t>
  </si>
  <si>
    <t xml:space="preserve">Набор ножек (100 мм) </t>
  </si>
  <si>
    <t xml:space="preserve">Сброс гущи в ёмкость под прилавок </t>
  </si>
  <si>
    <t>Запираемые контейнеры (2 крышки)</t>
  </si>
  <si>
    <t>wmf presto 1400</t>
  </si>
  <si>
    <t xml:space="preserve">03.1400.6100 </t>
  </si>
  <si>
    <t>03.1400.6010</t>
  </si>
  <si>
    <t>03.1400.6000</t>
  </si>
  <si>
    <t>03.1400.6060</t>
  </si>
  <si>
    <t>03.1400.6070</t>
  </si>
  <si>
    <t>03.1400.6020</t>
  </si>
  <si>
    <t>03.1400.6030</t>
  </si>
  <si>
    <t>03.1400.6040</t>
  </si>
  <si>
    <t>03.1400.6050</t>
  </si>
  <si>
    <t>wmf 1500s</t>
  </si>
  <si>
    <t>03.1900.0050</t>
  </si>
  <si>
    <t>03.1900.0060</t>
  </si>
  <si>
    <t>03.1900.5000</t>
  </si>
  <si>
    <t>2-я кофемолка</t>
  </si>
  <si>
    <t xml:space="preserve"> </t>
  </si>
  <si>
    <t>wmf 1800s</t>
  </si>
  <si>
    <t>03.1800.0010</t>
  </si>
  <si>
    <t>03.1800.0500</t>
  </si>
  <si>
    <t>Курс евро</t>
  </si>
  <si>
    <t>X</t>
  </si>
  <si>
    <t>X+промывка</t>
  </si>
  <si>
    <t xml:space="preserve">2. EasyMilk Горячее - и холодное молоко, горячая молочная пенка –
полностью автоматизировано за счет использования носика для подачи напитков
</t>
  </si>
  <si>
    <t>1. BasicMilk - Горячее молоко, горячая молочная пенка – полностью автоматизировано за счет использования носика для подачи напитков</t>
  </si>
  <si>
    <t>3. BasicSteam -
Горячие напитки, горячее молоко и горячая молочная пенка – за счет использования ручного вспенивателя. Ручное включение и выключение</t>
  </si>
  <si>
    <t>ХХ</t>
  </si>
  <si>
    <t>Х - идет в комплекте</t>
  </si>
  <si>
    <t>Важно:</t>
  </si>
  <si>
    <t>Примечания:</t>
  </si>
  <si>
    <t>ХХ - в комплекте идет двойной модификации</t>
  </si>
  <si>
    <t>Цена базовой модели (ОПТ), с НДС</t>
  </si>
  <si>
    <t xml:space="preserve">Холодильник WMF 3,5л </t>
  </si>
  <si>
    <t>Насосная станция для бутылей 19л</t>
  </si>
  <si>
    <t>руб</t>
  </si>
  <si>
    <t>Возможны дополнительные скидки.</t>
  </si>
  <si>
    <t>Ножки и сброс гущи в емкость под прилавок объединить не возможно</t>
  </si>
  <si>
    <t>Подключение к водопроводу</t>
  </si>
  <si>
    <t>Система "Plug+Clean" ("Подключи и чисти")</t>
  </si>
  <si>
    <t>Большая кофемолка</t>
  </si>
  <si>
    <t>Кофемолка</t>
  </si>
  <si>
    <t>Контейнер для топинга</t>
  </si>
  <si>
    <t>Контейнер для шоколада</t>
  </si>
  <si>
    <t>Вспениватель молока</t>
  </si>
  <si>
    <t>Простой режим очистки</t>
  </si>
  <si>
    <t>Функция добавления воды в кофе</t>
  </si>
  <si>
    <t>Паровая струя для подогрева чашки</t>
  </si>
  <si>
    <t>Светодиодная подсветка</t>
  </si>
  <si>
    <t>Горячая вода</t>
  </si>
  <si>
    <t>Производительность, чашки</t>
  </si>
  <si>
    <t>Количество напитков</t>
  </si>
  <si>
    <t>Дополнительное оборудование</t>
  </si>
  <si>
    <t>Контейнер для шоколада. Запираемый</t>
  </si>
  <si>
    <t>Контейнер для топига. Запираемый</t>
  </si>
  <si>
    <t>Двойной шоколад, запираемый</t>
  </si>
  <si>
    <t>Двойной топпинг, запираемый</t>
  </si>
  <si>
    <t>Контейнер для шоколада/топинга</t>
  </si>
  <si>
    <t>Запираемые контейнеры (3 крышки)</t>
  </si>
  <si>
    <t>Комплект для монтажа охладителя под кофемашиной</t>
  </si>
  <si>
    <t>Охладитель для молока, на 2 л.</t>
  </si>
  <si>
    <t>Цена базовой модели (РЕКОМЕНОВАНА ПРОИЗВОДИТЕЛЕМ), с НДС</t>
  </si>
  <si>
    <t>Базовая модель</t>
  </si>
  <si>
    <t>Cистема подачи молока</t>
  </si>
  <si>
    <t>Резервуар для воды, л</t>
  </si>
  <si>
    <t>Интернет-магазин KofeMart.ru
г. Москва
+7 (495) 989-96-67, msk@kofemart.ru
г. Санкт-Петербург
+7 (812) 951-44-74, spb@kofemart.ru
г. Екатеринбург 
+7 (343) 382-40-35, ekb@kofemart.ru 
г. Тюмень 
+7 (3452) 912-975, tmn@kofemart.ru 
Другие города 
8 (804) 333-20-35 (звоните бесплатно)</t>
  </si>
  <si>
    <t>Прайс-лист на профессиональные кофемашины WMF в евро*</t>
  </si>
  <si>
    <t>* Предложение не является офертой, наличие и цены на кофемашины, пожалуйста, узнавайте у наших менеджеров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</si>
</sst>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0"/>
      <name val="Arial"/>
      <family val="2"/>
    </font>
    <font>
      <b/>
      <sz val="14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0" fontId="2" fillId="6" borderId="10" xfId="0" applyFont="1" applyFill="1" applyBorder="1" applyAlignment="1">
      <alignment wrapText="1"/>
    </xf>
    <xf numFmtId="0" fontId="2" fillId="6" borderId="14" xfId="0" applyFont="1" applyFill="1" applyBorder="1" applyAlignment="1">
      <alignment/>
    </xf>
    <xf numFmtId="0" fontId="2" fillId="6" borderId="10" xfId="0" applyFont="1" applyFill="1" applyBorder="1" applyAlignment="1">
      <alignment/>
    </xf>
    <xf numFmtId="0" fontId="2" fillId="6" borderId="15" xfId="0" applyFont="1" applyFill="1" applyBorder="1" applyAlignment="1">
      <alignment/>
    </xf>
    <xf numFmtId="0" fontId="2" fillId="6" borderId="12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6" borderId="10" xfId="0" applyFont="1" applyFill="1" applyBorder="1" applyAlignment="1">
      <alignment horizontal="center" wrapText="1"/>
    </xf>
    <xf numFmtId="3" fontId="2" fillId="6" borderId="10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0" fontId="2" fillId="6" borderId="14" xfId="0" applyFont="1" applyFill="1" applyBorder="1" applyAlignment="1">
      <alignment horizontal="center" wrapText="1"/>
    </xf>
    <xf numFmtId="3" fontId="2" fillId="6" borderId="14" xfId="0" applyNumberFormat="1" applyFont="1" applyFill="1" applyBorder="1" applyAlignment="1">
      <alignment horizontal="center" wrapText="1"/>
    </xf>
    <xf numFmtId="3" fontId="2" fillId="6" borderId="17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8" xfId="0" applyNumberFormat="1" applyFont="1" applyBorder="1" applyAlignment="1">
      <alignment horizontal="center" wrapText="1"/>
    </xf>
    <xf numFmtId="3" fontId="2" fillId="6" borderId="18" xfId="0" applyNumberFormat="1" applyFont="1" applyFill="1" applyBorder="1" applyAlignment="1">
      <alignment horizontal="center" wrapText="1"/>
    </xf>
    <xf numFmtId="0" fontId="2" fillId="6" borderId="15" xfId="0" applyFont="1" applyFill="1" applyBorder="1" applyAlignment="1">
      <alignment horizontal="center" wrapText="1"/>
    </xf>
    <xf numFmtId="3" fontId="2" fillId="6" borderId="15" xfId="0" applyNumberFormat="1" applyFont="1" applyFill="1" applyBorder="1" applyAlignment="1">
      <alignment horizontal="center" wrapText="1"/>
    </xf>
    <xf numFmtId="3" fontId="2" fillId="6" borderId="19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0" fontId="2" fillId="6" borderId="20" xfId="0" applyFont="1" applyFill="1" applyBorder="1" applyAlignment="1">
      <alignment horizontal="center" wrapText="1"/>
    </xf>
    <xf numFmtId="3" fontId="2" fillId="6" borderId="2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3" fontId="2" fillId="0" borderId="20" xfId="0" applyNumberFormat="1" applyFont="1" applyBorder="1" applyAlignment="1">
      <alignment horizontal="center" wrapText="1"/>
    </xf>
    <xf numFmtId="0" fontId="2" fillId="6" borderId="15" xfId="0" applyFont="1" applyFill="1" applyBorder="1" applyAlignment="1">
      <alignment wrapText="1"/>
    </xf>
    <xf numFmtId="3" fontId="2" fillId="6" borderId="21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wrapText="1"/>
    </xf>
    <xf numFmtId="3" fontId="2" fillId="0" borderId="17" xfId="0" applyNumberFormat="1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wrapText="1"/>
    </xf>
    <xf numFmtId="3" fontId="2" fillId="0" borderId="21" xfId="0" applyNumberFormat="1" applyFont="1" applyBorder="1" applyAlignment="1">
      <alignment horizontal="center" wrapText="1"/>
    </xf>
    <xf numFmtId="3" fontId="2" fillId="0" borderId="19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9" fillId="0" borderId="0" xfId="42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textRotation="180" wrapText="1"/>
    </xf>
    <xf numFmtId="0" fontId="8" fillId="0" borderId="10" xfId="0" applyFont="1" applyBorder="1" applyAlignment="1">
      <alignment horizontal="center" vertical="center" textRotation="180" wrapText="1"/>
    </xf>
    <xf numFmtId="0" fontId="6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center" textRotation="180" wrapText="1"/>
    </xf>
    <xf numFmtId="0" fontId="9" fillId="0" borderId="11" xfId="0" applyFont="1" applyBorder="1" applyAlignment="1">
      <alignment horizontal="center" textRotation="180" wrapText="1"/>
    </xf>
    <xf numFmtId="0" fontId="9" fillId="0" borderId="20" xfId="0" applyFont="1" applyBorder="1" applyAlignment="1">
      <alignment horizontal="center" textRotation="180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1" xfId="0" applyFont="1" applyBorder="1" applyAlignment="1">
      <alignment horizontal="center" textRotation="180" wrapText="1"/>
    </xf>
    <xf numFmtId="0" fontId="8" fillId="0" borderId="20" xfId="0" applyFont="1" applyBorder="1" applyAlignment="1">
      <alignment horizontal="center" textRotation="180" wrapText="1"/>
    </xf>
    <xf numFmtId="0" fontId="8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tabSelected="1" zoomScale="85" zoomScaleNormal="85" zoomScalePageLayoutView="0" workbookViewId="0" topLeftCell="A1">
      <selection activeCell="I1" sqref="I1"/>
    </sheetView>
  </sheetViews>
  <sheetFormatPr defaultColWidth="9.00390625" defaultRowHeight="12.75"/>
  <cols>
    <col min="1" max="1" width="15.625" style="12" customWidth="1"/>
    <col min="2" max="2" width="12.75390625" style="12" bestFit="1" customWidth="1"/>
    <col min="3" max="3" width="5.125" style="12" bestFit="1" customWidth="1"/>
    <col min="4" max="4" width="5.625" style="12" customWidth="1"/>
    <col min="5" max="5" width="6.00390625" style="12" bestFit="1" customWidth="1"/>
    <col min="6" max="6" width="5.125" style="12" bestFit="1" customWidth="1"/>
    <col min="7" max="7" width="3.375" style="12" customWidth="1"/>
    <col min="8" max="8" width="8.375" style="12" customWidth="1"/>
    <col min="9" max="9" width="3.375" style="12" customWidth="1"/>
    <col min="10" max="10" width="2.375" style="12" customWidth="1"/>
    <col min="11" max="11" width="7.75390625" style="12" customWidth="1"/>
    <col min="12" max="12" width="2.375" style="12" customWidth="1"/>
    <col min="13" max="13" width="5.875" style="12" customWidth="1"/>
    <col min="14" max="14" width="3.625" style="12" customWidth="1"/>
    <col min="15" max="16" width="2.125" style="12" customWidth="1"/>
    <col min="17" max="17" width="5.25390625" style="12" customWidth="1"/>
    <col min="18" max="18" width="2.25390625" style="12" customWidth="1"/>
    <col min="19" max="19" width="4.375" style="12" customWidth="1"/>
    <col min="20" max="20" width="4.25390625" style="12" customWidth="1"/>
    <col min="21" max="21" width="5.25390625" style="12" customWidth="1"/>
    <col min="22" max="22" width="5.625" style="12" bestFit="1" customWidth="1"/>
    <col min="23" max="28" width="6.625" style="12" bestFit="1" customWidth="1"/>
    <col min="29" max="32" width="5.625" style="12" bestFit="1" customWidth="1"/>
    <col min="33" max="33" width="5.625" style="12" customWidth="1"/>
    <col min="34" max="34" width="6.75390625" style="12" bestFit="1" customWidth="1"/>
    <col min="35" max="35" width="5.625" style="12" bestFit="1" customWidth="1"/>
    <col min="36" max="36" width="11.375" style="52" bestFit="1" customWidth="1"/>
    <col min="37" max="37" width="11.375" style="52" hidden="1" customWidth="1"/>
    <col min="38" max="16384" width="9.125" style="12" customWidth="1"/>
  </cols>
  <sheetData>
    <row r="1" spans="2:37" s="10" customFormat="1" ht="181.5" customHeight="1">
      <c r="B1" s="59" t="s">
        <v>87</v>
      </c>
      <c r="C1" s="59"/>
      <c r="D1" s="59"/>
      <c r="E1" s="59"/>
      <c r="F1" s="59"/>
      <c r="G1" s="59"/>
      <c r="H1" s="59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</row>
    <row r="2" spans="2:37" ht="21" customHeight="1">
      <c r="B2" s="13"/>
      <c r="C2" s="13"/>
      <c r="D2" s="13"/>
      <c r="E2" s="14"/>
      <c r="F2" s="11"/>
      <c r="G2" s="14"/>
      <c r="H2" s="14"/>
      <c r="I2" s="11"/>
      <c r="J2" s="14"/>
      <c r="K2" s="57" t="s">
        <v>88</v>
      </c>
      <c r="L2" s="11"/>
      <c r="M2" s="14"/>
      <c r="N2" s="11"/>
      <c r="O2" s="11"/>
      <c r="P2" s="11"/>
      <c r="Q2" s="11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1"/>
      <c r="AK2" s="11"/>
    </row>
    <row r="3" spans="1:37" s="15" customFormat="1" ht="33.75" customHeight="1">
      <c r="A3" s="60" t="s">
        <v>0</v>
      </c>
      <c r="B3" s="66" t="s">
        <v>84</v>
      </c>
      <c r="C3" s="68" t="s">
        <v>85</v>
      </c>
      <c r="D3" s="68"/>
      <c r="E3" s="68"/>
      <c r="F3" s="66" t="s">
        <v>4</v>
      </c>
      <c r="G3" s="60" t="s">
        <v>60</v>
      </c>
      <c r="H3" s="60" t="s">
        <v>61</v>
      </c>
      <c r="I3" s="66" t="s">
        <v>62</v>
      </c>
      <c r="J3" s="60" t="s">
        <v>63</v>
      </c>
      <c r="K3" s="66" t="s">
        <v>64</v>
      </c>
      <c r="L3" s="66" t="s">
        <v>65</v>
      </c>
      <c r="M3" s="60" t="s">
        <v>66</v>
      </c>
      <c r="N3" s="66" t="s">
        <v>67</v>
      </c>
      <c r="O3" s="66" t="s">
        <v>68</v>
      </c>
      <c r="P3" s="66" t="s">
        <v>69</v>
      </c>
      <c r="Q3" s="66" t="s">
        <v>70</v>
      </c>
      <c r="R3" s="60" t="s">
        <v>71</v>
      </c>
      <c r="S3" s="60" t="s">
        <v>86</v>
      </c>
      <c r="T3" s="60" t="s">
        <v>72</v>
      </c>
      <c r="U3" s="60" t="s">
        <v>73</v>
      </c>
      <c r="V3" s="63" t="s">
        <v>74</v>
      </c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5"/>
      <c r="AJ3" s="61" t="s">
        <v>83</v>
      </c>
      <c r="AK3" s="61" t="s">
        <v>54</v>
      </c>
    </row>
    <row r="4" spans="1:37" s="16" customFormat="1" ht="204.75" customHeight="1">
      <c r="A4" s="60"/>
      <c r="B4" s="67"/>
      <c r="C4" s="53" t="s">
        <v>1</v>
      </c>
      <c r="D4" s="53" t="s">
        <v>2</v>
      </c>
      <c r="E4" s="53" t="s">
        <v>3</v>
      </c>
      <c r="F4" s="67"/>
      <c r="G4" s="60"/>
      <c r="H4" s="60"/>
      <c r="I4" s="67"/>
      <c r="J4" s="60"/>
      <c r="K4" s="67"/>
      <c r="L4" s="67"/>
      <c r="M4" s="60"/>
      <c r="N4" s="67"/>
      <c r="O4" s="67"/>
      <c r="P4" s="67"/>
      <c r="Q4" s="67"/>
      <c r="R4" s="60"/>
      <c r="S4" s="60"/>
      <c r="T4" s="60"/>
      <c r="U4" s="60"/>
      <c r="V4" s="54" t="s">
        <v>21</v>
      </c>
      <c r="W4" s="54" t="s">
        <v>38</v>
      </c>
      <c r="X4" s="54" t="s">
        <v>75</v>
      </c>
      <c r="Y4" s="54" t="s">
        <v>76</v>
      </c>
      <c r="Z4" s="54" t="s">
        <v>77</v>
      </c>
      <c r="AA4" s="54" t="s">
        <v>78</v>
      </c>
      <c r="AB4" s="54" t="s">
        <v>79</v>
      </c>
      <c r="AC4" s="54" t="s">
        <v>22</v>
      </c>
      <c r="AD4" s="54" t="s">
        <v>80</v>
      </c>
      <c r="AE4" s="54" t="s">
        <v>81</v>
      </c>
      <c r="AF4" s="54" t="s">
        <v>23</v>
      </c>
      <c r="AG4" s="54" t="s">
        <v>82</v>
      </c>
      <c r="AH4" s="54" t="s">
        <v>55</v>
      </c>
      <c r="AI4" s="54" t="s">
        <v>56</v>
      </c>
      <c r="AJ4" s="62"/>
      <c r="AK4" s="62"/>
    </row>
    <row r="5" spans="1:37" ht="12.75">
      <c r="A5" s="5" t="s">
        <v>5</v>
      </c>
      <c r="B5" s="5" t="s">
        <v>6</v>
      </c>
      <c r="C5" s="17"/>
      <c r="D5" s="17"/>
      <c r="E5" s="17"/>
      <c r="F5" s="17"/>
      <c r="G5" s="17"/>
      <c r="H5" s="17"/>
      <c r="I5" s="17"/>
      <c r="J5" s="17">
        <v>1</v>
      </c>
      <c r="K5" s="17"/>
      <c r="L5" s="17"/>
      <c r="M5" s="17" t="s">
        <v>44</v>
      </c>
      <c r="N5" s="17"/>
      <c r="O5" s="17"/>
      <c r="P5" s="17"/>
      <c r="Q5" s="17"/>
      <c r="R5" s="17" t="s">
        <v>44</v>
      </c>
      <c r="S5" s="17">
        <v>2.2</v>
      </c>
      <c r="T5" s="17">
        <v>45</v>
      </c>
      <c r="U5" s="17">
        <v>9</v>
      </c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>
        <v>7000</v>
      </c>
      <c r="AH5" s="18"/>
      <c r="AI5" s="18">
        <v>8000</v>
      </c>
      <c r="AJ5" s="18">
        <f>$B$33*1.18*1512</f>
        <v>1784.1599999999999</v>
      </c>
      <c r="AK5" s="18">
        <f>$B$33*1.18*0.75*1512</f>
        <v>1338.1200000000001</v>
      </c>
    </row>
    <row r="6" spans="1:37" ht="13.5" thickBot="1">
      <c r="A6" s="19" t="s">
        <v>7</v>
      </c>
      <c r="B6" s="2" t="s">
        <v>8</v>
      </c>
      <c r="C6" s="20"/>
      <c r="D6" s="20"/>
      <c r="E6" s="20"/>
      <c r="F6" s="20"/>
      <c r="G6" s="20"/>
      <c r="H6" s="20"/>
      <c r="I6" s="20"/>
      <c r="J6" s="20">
        <v>1</v>
      </c>
      <c r="K6" s="20"/>
      <c r="L6" s="20"/>
      <c r="M6" s="20" t="s">
        <v>44</v>
      </c>
      <c r="N6" s="20"/>
      <c r="O6" s="20"/>
      <c r="P6" s="20"/>
      <c r="Q6" s="20"/>
      <c r="R6" s="20" t="s">
        <v>44</v>
      </c>
      <c r="S6" s="20">
        <v>2.8</v>
      </c>
      <c r="T6" s="20">
        <v>60</v>
      </c>
      <c r="U6" s="20">
        <v>11</v>
      </c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>
        <v>7000</v>
      </c>
      <c r="AH6" s="21"/>
      <c r="AI6" s="21"/>
      <c r="AJ6" s="21">
        <f>$B$33*1.18*1932</f>
        <v>2279.7599999999998</v>
      </c>
      <c r="AK6" s="21">
        <f>$B$33*1.18*0.75*1932</f>
        <v>1709.82</v>
      </c>
    </row>
    <row r="7" spans="1:37" ht="12.75">
      <c r="A7" s="70" t="s">
        <v>9</v>
      </c>
      <c r="B7" s="6" t="s">
        <v>10</v>
      </c>
      <c r="C7" s="22" t="s">
        <v>44</v>
      </c>
      <c r="D7" s="22"/>
      <c r="E7" s="22"/>
      <c r="F7" s="22"/>
      <c r="G7" s="22"/>
      <c r="H7" s="22"/>
      <c r="I7" s="22"/>
      <c r="J7" s="22">
        <v>1</v>
      </c>
      <c r="K7" s="22"/>
      <c r="L7" s="22"/>
      <c r="M7" s="22" t="s">
        <v>44</v>
      </c>
      <c r="N7" s="22"/>
      <c r="O7" s="22"/>
      <c r="P7" s="22"/>
      <c r="Q7" s="22"/>
      <c r="R7" s="22"/>
      <c r="S7" s="22">
        <v>4</v>
      </c>
      <c r="T7" s="22">
        <v>100</v>
      </c>
      <c r="U7" s="22">
        <v>12</v>
      </c>
      <c r="V7" s="23">
        <f>B33*1.18*0.75*95</f>
        <v>84.075</v>
      </c>
      <c r="W7" s="23"/>
      <c r="X7" s="23"/>
      <c r="Y7" s="23"/>
      <c r="Z7" s="23"/>
      <c r="AA7" s="23"/>
      <c r="AB7" s="23"/>
      <c r="AC7" s="23">
        <f>B33*1.18*0.75*190</f>
        <v>168.15</v>
      </c>
      <c r="AD7" s="23"/>
      <c r="AE7" s="23"/>
      <c r="AF7" s="23">
        <f>B33*1.18*0.75*100</f>
        <v>88.5</v>
      </c>
      <c r="AG7" s="23"/>
      <c r="AH7" s="23">
        <v>37100</v>
      </c>
      <c r="AI7" s="23"/>
      <c r="AJ7" s="24">
        <f>$B$33*1.18*3580</f>
        <v>4224.4</v>
      </c>
      <c r="AK7" s="24">
        <f>$B$33*1.18*0.75*3580</f>
        <v>3168.3</v>
      </c>
    </row>
    <row r="8" spans="1:37" ht="12.75">
      <c r="A8" s="71"/>
      <c r="B8" s="1" t="s">
        <v>11</v>
      </c>
      <c r="C8" s="25" t="s">
        <v>44</v>
      </c>
      <c r="D8" s="25"/>
      <c r="E8" s="25"/>
      <c r="F8" s="25"/>
      <c r="G8" s="25" t="s">
        <v>44</v>
      </c>
      <c r="H8" s="25" t="s">
        <v>44</v>
      </c>
      <c r="I8" s="25"/>
      <c r="J8" s="25">
        <v>1</v>
      </c>
      <c r="K8" s="25"/>
      <c r="L8" s="25"/>
      <c r="M8" s="25" t="s">
        <v>44</v>
      </c>
      <c r="N8" s="25"/>
      <c r="O8" s="25"/>
      <c r="P8" s="25"/>
      <c r="Q8" s="25"/>
      <c r="R8" s="25"/>
      <c r="S8" s="25"/>
      <c r="T8" s="25">
        <v>100</v>
      </c>
      <c r="U8" s="25">
        <v>12</v>
      </c>
      <c r="V8" s="26">
        <f>B33*1.18*0.75*95</f>
        <v>84.075</v>
      </c>
      <c r="W8" s="26"/>
      <c r="X8" s="26"/>
      <c r="Y8" s="26"/>
      <c r="Z8" s="26"/>
      <c r="AA8" s="26"/>
      <c r="AB8" s="26"/>
      <c r="AC8" s="26">
        <f>B33*1.18*0.75*190</f>
        <v>168.15</v>
      </c>
      <c r="AD8" s="26"/>
      <c r="AE8" s="26"/>
      <c r="AF8" s="26">
        <f>B33*1.18*0.75*100</f>
        <v>88.5</v>
      </c>
      <c r="AG8" s="26"/>
      <c r="AH8" s="26">
        <v>37100</v>
      </c>
      <c r="AI8" s="26">
        <v>8000</v>
      </c>
      <c r="AJ8" s="27">
        <f>$B$33*1.18*4180</f>
        <v>4932.4</v>
      </c>
      <c r="AK8" s="27">
        <f>$B$33*1.18*0.75*4180</f>
        <v>3699.3</v>
      </c>
    </row>
    <row r="9" spans="1:37" ht="12.75">
      <c r="A9" s="71"/>
      <c r="B9" s="7" t="s">
        <v>12</v>
      </c>
      <c r="C9" s="17" t="s">
        <v>44</v>
      </c>
      <c r="D9" s="17"/>
      <c r="E9" s="17"/>
      <c r="F9" s="17"/>
      <c r="G9" s="17" t="s">
        <v>44</v>
      </c>
      <c r="H9" s="17"/>
      <c r="I9" s="17"/>
      <c r="J9" s="17">
        <v>1</v>
      </c>
      <c r="K9" s="17"/>
      <c r="L9" s="17"/>
      <c r="M9" s="17" t="s">
        <v>44</v>
      </c>
      <c r="N9" s="17"/>
      <c r="O9" s="17"/>
      <c r="P9" s="17"/>
      <c r="Q9" s="17"/>
      <c r="R9" s="17"/>
      <c r="S9" s="17"/>
      <c r="T9" s="17">
        <v>100</v>
      </c>
      <c r="U9" s="17">
        <v>12</v>
      </c>
      <c r="V9" s="18">
        <f>B33*1.18*0.75*95</f>
        <v>84.075</v>
      </c>
      <c r="W9" s="18"/>
      <c r="X9" s="18"/>
      <c r="Y9" s="18"/>
      <c r="Z9" s="18"/>
      <c r="AA9" s="18"/>
      <c r="AB9" s="18"/>
      <c r="AC9" s="18">
        <f>B33*1.18*0.75*190</f>
        <v>168.15</v>
      </c>
      <c r="AD9" s="18"/>
      <c r="AE9" s="18"/>
      <c r="AF9" s="18">
        <f>B33*1.18*0.75*100</f>
        <v>88.5</v>
      </c>
      <c r="AG9" s="18"/>
      <c r="AH9" s="18">
        <v>37100</v>
      </c>
      <c r="AI9" s="18">
        <v>8000</v>
      </c>
      <c r="AJ9" s="28">
        <f>$B$33*1.18*4230</f>
        <v>4991.4</v>
      </c>
      <c r="AK9" s="28">
        <f>$B$33*1.18*0.75*4230</f>
        <v>3743.55</v>
      </c>
    </row>
    <row r="10" spans="1:37" ht="12.75">
      <c r="A10" s="71"/>
      <c r="B10" s="1" t="s">
        <v>13</v>
      </c>
      <c r="C10" s="25"/>
      <c r="D10" s="25" t="s">
        <v>44</v>
      </c>
      <c r="E10" s="25"/>
      <c r="F10" s="25"/>
      <c r="G10" s="25"/>
      <c r="H10" s="25"/>
      <c r="I10" s="25"/>
      <c r="J10" s="25">
        <v>2</v>
      </c>
      <c r="K10" s="25"/>
      <c r="L10" s="25"/>
      <c r="M10" s="25" t="s">
        <v>44</v>
      </c>
      <c r="N10" s="25"/>
      <c r="O10" s="25"/>
      <c r="P10" s="25"/>
      <c r="Q10" s="25"/>
      <c r="R10" s="25"/>
      <c r="S10" s="25">
        <v>4</v>
      </c>
      <c r="T10" s="25">
        <v>100</v>
      </c>
      <c r="U10" s="25">
        <v>12</v>
      </c>
      <c r="V10" s="26">
        <f>B33*1.18*0.75*95</f>
        <v>84.075</v>
      </c>
      <c r="W10" s="26"/>
      <c r="X10" s="26"/>
      <c r="Y10" s="26"/>
      <c r="Z10" s="26"/>
      <c r="AA10" s="26"/>
      <c r="AB10" s="26"/>
      <c r="AC10" s="26">
        <f>B33*1.18*0.75*190</f>
        <v>168.15</v>
      </c>
      <c r="AD10" s="26"/>
      <c r="AE10" s="26"/>
      <c r="AF10" s="26">
        <f>B33*1.18*0.75*100</f>
        <v>88.5</v>
      </c>
      <c r="AG10" s="26"/>
      <c r="AH10" s="26">
        <v>37100</v>
      </c>
      <c r="AI10" s="26"/>
      <c r="AJ10" s="27">
        <f>$B$33*1.18*3930</f>
        <v>4637.4</v>
      </c>
      <c r="AK10" s="27">
        <f>$B$33*1.18*0.75*3930</f>
        <v>3478.05</v>
      </c>
    </row>
    <row r="11" spans="1:37" ht="12.75">
      <c r="A11" s="71"/>
      <c r="B11" s="5" t="s">
        <v>14</v>
      </c>
      <c r="C11" s="17" t="s">
        <v>44</v>
      </c>
      <c r="D11" s="17"/>
      <c r="E11" s="17"/>
      <c r="F11" s="17"/>
      <c r="G11" s="17" t="s">
        <v>44</v>
      </c>
      <c r="H11" s="17" t="s">
        <v>44</v>
      </c>
      <c r="I11" s="17"/>
      <c r="J11" s="17">
        <v>2</v>
      </c>
      <c r="K11" s="17"/>
      <c r="L11" s="17"/>
      <c r="M11" s="17" t="s">
        <v>44</v>
      </c>
      <c r="N11" s="17"/>
      <c r="O11" s="17"/>
      <c r="P11" s="17"/>
      <c r="Q11" s="17"/>
      <c r="R11" s="17"/>
      <c r="S11" s="17"/>
      <c r="T11" s="17">
        <v>100</v>
      </c>
      <c r="U11" s="17">
        <v>12</v>
      </c>
      <c r="V11" s="18">
        <f>B33*1.18*0.75*95</f>
        <v>84.075</v>
      </c>
      <c r="W11" s="18"/>
      <c r="X11" s="18"/>
      <c r="Y11" s="18"/>
      <c r="Z11" s="18"/>
      <c r="AA11" s="18"/>
      <c r="AB11" s="18"/>
      <c r="AC11" s="18">
        <f>B33*1.18*0.75*190</f>
        <v>168.15</v>
      </c>
      <c r="AD11" s="18"/>
      <c r="AE11" s="18"/>
      <c r="AF11" s="18">
        <f>B33*1.18*0.75*100</f>
        <v>88.5</v>
      </c>
      <c r="AG11" s="18"/>
      <c r="AH11" s="18">
        <v>37100</v>
      </c>
      <c r="AI11" s="18">
        <v>8000</v>
      </c>
      <c r="AJ11" s="28">
        <f>$B$33*1.18*4530</f>
        <v>5345.4</v>
      </c>
      <c r="AK11" s="28">
        <f>$B$33*1.18*0.75*4530</f>
        <v>4009.05</v>
      </c>
    </row>
    <row r="12" spans="1:37" ht="12.75">
      <c r="A12" s="71"/>
      <c r="B12" s="1" t="s">
        <v>15</v>
      </c>
      <c r="C12" s="25"/>
      <c r="D12" s="25" t="s">
        <v>44</v>
      </c>
      <c r="E12" s="25"/>
      <c r="F12" s="25"/>
      <c r="G12" s="25" t="s">
        <v>44</v>
      </c>
      <c r="H12" s="25"/>
      <c r="I12" s="25"/>
      <c r="J12" s="25">
        <v>2</v>
      </c>
      <c r="K12" s="25"/>
      <c r="L12" s="25"/>
      <c r="M12" s="25" t="s">
        <v>44</v>
      </c>
      <c r="N12" s="25"/>
      <c r="O12" s="25"/>
      <c r="P12" s="25"/>
      <c r="Q12" s="25"/>
      <c r="R12" s="25"/>
      <c r="S12" s="25"/>
      <c r="T12" s="25">
        <v>100</v>
      </c>
      <c r="U12" s="25">
        <v>12</v>
      </c>
      <c r="V12" s="26">
        <f>B33*1.18*0.75*95</f>
        <v>84.075</v>
      </c>
      <c r="W12" s="26"/>
      <c r="X12" s="26"/>
      <c r="Y12" s="26"/>
      <c r="Z12" s="26"/>
      <c r="AA12" s="26"/>
      <c r="AB12" s="26"/>
      <c r="AC12" s="26">
        <f>B33*1.18*0.75*190</f>
        <v>168.15</v>
      </c>
      <c r="AD12" s="26"/>
      <c r="AE12" s="26"/>
      <c r="AF12" s="26">
        <f>B33*1.18*0.75*100</f>
        <v>88.5</v>
      </c>
      <c r="AG12" s="26"/>
      <c r="AH12" s="26">
        <v>37100</v>
      </c>
      <c r="AI12" s="26">
        <v>8000</v>
      </c>
      <c r="AJ12" s="27">
        <f>$B$33*1.18*4580</f>
        <v>5404.4</v>
      </c>
      <c r="AK12" s="27">
        <f>$B$33*1.18*0.75*4580</f>
        <v>4053.3</v>
      </c>
    </row>
    <row r="13" spans="1:37" ht="12.75">
      <c r="A13" s="71"/>
      <c r="B13" s="7" t="s">
        <v>16</v>
      </c>
      <c r="C13" s="17" t="s">
        <v>44</v>
      </c>
      <c r="D13" s="17"/>
      <c r="E13" s="17"/>
      <c r="F13" s="17"/>
      <c r="G13" s="17"/>
      <c r="H13" s="17"/>
      <c r="I13" s="17"/>
      <c r="J13" s="17">
        <v>1</v>
      </c>
      <c r="K13" s="17"/>
      <c r="L13" s="17" t="s">
        <v>44</v>
      </c>
      <c r="M13" s="17" t="s">
        <v>44</v>
      </c>
      <c r="N13" s="17"/>
      <c r="O13" s="17"/>
      <c r="P13" s="17"/>
      <c r="Q13" s="17"/>
      <c r="R13" s="17"/>
      <c r="S13" s="17">
        <v>4</v>
      </c>
      <c r="T13" s="17">
        <v>100</v>
      </c>
      <c r="U13" s="17">
        <v>12</v>
      </c>
      <c r="V13" s="18">
        <f>B33*1.18*0.75*95</f>
        <v>84.075</v>
      </c>
      <c r="W13" s="18"/>
      <c r="X13" s="18"/>
      <c r="Y13" s="18"/>
      <c r="Z13" s="18"/>
      <c r="AA13" s="18"/>
      <c r="AB13" s="18"/>
      <c r="AC13" s="18">
        <f>B33*1.18*0.75*190</f>
        <v>168.15</v>
      </c>
      <c r="AD13" s="18"/>
      <c r="AE13" s="18"/>
      <c r="AF13" s="18">
        <f>B33*1.18*0.75*100</f>
        <v>88.5</v>
      </c>
      <c r="AG13" s="18"/>
      <c r="AH13" s="18">
        <v>37100</v>
      </c>
      <c r="AI13" s="18"/>
      <c r="AJ13" s="28">
        <f>$B$33*1.18*3930</f>
        <v>4637.4</v>
      </c>
      <c r="AK13" s="28">
        <f>$B$33*1.18*0.75*3930</f>
        <v>3478.05</v>
      </c>
    </row>
    <row r="14" spans="1:37" ht="12.75">
      <c r="A14" s="71"/>
      <c r="B14" s="1" t="s">
        <v>17</v>
      </c>
      <c r="C14" s="25" t="s">
        <v>44</v>
      </c>
      <c r="D14" s="25"/>
      <c r="E14" s="25"/>
      <c r="F14" s="25"/>
      <c r="G14" s="25" t="s">
        <v>44</v>
      </c>
      <c r="H14" s="25" t="s">
        <v>44</v>
      </c>
      <c r="I14" s="25"/>
      <c r="J14" s="25">
        <v>1</v>
      </c>
      <c r="K14" s="25"/>
      <c r="L14" s="25" t="s">
        <v>44</v>
      </c>
      <c r="M14" s="25" t="s">
        <v>44</v>
      </c>
      <c r="N14" s="25"/>
      <c r="O14" s="25"/>
      <c r="P14" s="25"/>
      <c r="Q14" s="25"/>
      <c r="R14" s="25"/>
      <c r="S14" s="25"/>
      <c r="T14" s="25">
        <v>100</v>
      </c>
      <c r="U14" s="25">
        <v>12</v>
      </c>
      <c r="V14" s="26">
        <f>B33*1.18*0.75*95</f>
        <v>84.075</v>
      </c>
      <c r="W14" s="26"/>
      <c r="X14" s="26"/>
      <c r="Y14" s="26"/>
      <c r="Z14" s="26"/>
      <c r="AA14" s="26"/>
      <c r="AB14" s="26"/>
      <c r="AC14" s="26">
        <f>B33*1.18*0.75*190</f>
        <v>168.15</v>
      </c>
      <c r="AD14" s="26"/>
      <c r="AE14" s="26"/>
      <c r="AF14" s="26">
        <f>B33*1.18*0.75*100</f>
        <v>88.5</v>
      </c>
      <c r="AG14" s="26"/>
      <c r="AH14" s="26">
        <v>37100</v>
      </c>
      <c r="AI14" s="26">
        <v>8000</v>
      </c>
      <c r="AJ14" s="27">
        <f>$B$33*1.18*4530</f>
        <v>5345.4</v>
      </c>
      <c r="AK14" s="27">
        <f>$B$33*1.18*0.75*4530</f>
        <v>4009.05</v>
      </c>
    </row>
    <row r="15" spans="1:37" ht="12.75">
      <c r="A15" s="71"/>
      <c r="B15" s="7" t="s">
        <v>18</v>
      </c>
      <c r="C15" s="17"/>
      <c r="D15" s="17" t="s">
        <v>44</v>
      </c>
      <c r="E15" s="17"/>
      <c r="F15" s="17"/>
      <c r="G15" s="17" t="s">
        <v>44</v>
      </c>
      <c r="H15" s="17"/>
      <c r="I15" s="17"/>
      <c r="J15" s="17">
        <v>1</v>
      </c>
      <c r="K15" s="17"/>
      <c r="L15" s="17" t="s">
        <v>44</v>
      </c>
      <c r="M15" s="17" t="s">
        <v>44</v>
      </c>
      <c r="N15" s="17"/>
      <c r="O15" s="17"/>
      <c r="P15" s="17"/>
      <c r="Q15" s="17"/>
      <c r="R15" s="17"/>
      <c r="S15" s="17"/>
      <c r="T15" s="17">
        <v>100</v>
      </c>
      <c r="U15" s="17">
        <v>12</v>
      </c>
      <c r="V15" s="18">
        <f>B33*1.18*0.75*95</f>
        <v>84.075</v>
      </c>
      <c r="W15" s="18"/>
      <c r="X15" s="18"/>
      <c r="Y15" s="18"/>
      <c r="Z15" s="18"/>
      <c r="AA15" s="18"/>
      <c r="AB15" s="18"/>
      <c r="AC15" s="18">
        <f>B33*1.18*0.75*190</f>
        <v>168.15</v>
      </c>
      <c r="AD15" s="18"/>
      <c r="AE15" s="18"/>
      <c r="AF15" s="18">
        <f>B33*1.18*0.75*100</f>
        <v>88.5</v>
      </c>
      <c r="AG15" s="18"/>
      <c r="AH15" s="18">
        <v>37100</v>
      </c>
      <c r="AI15" s="18">
        <v>8000</v>
      </c>
      <c r="AJ15" s="28">
        <f>$B$33*1.18*4580</f>
        <v>5404.4</v>
      </c>
      <c r="AK15" s="28">
        <f>$B$33*1.18*0.75*4580</f>
        <v>4053.3</v>
      </c>
    </row>
    <row r="16" spans="1:37" ht="12.75">
      <c r="A16" s="71"/>
      <c r="B16" s="1" t="s">
        <v>19</v>
      </c>
      <c r="C16" s="25"/>
      <c r="D16" s="25"/>
      <c r="E16" s="25"/>
      <c r="F16" s="25"/>
      <c r="G16" s="25"/>
      <c r="H16" s="25"/>
      <c r="I16" s="25"/>
      <c r="J16" s="25">
        <v>1</v>
      </c>
      <c r="K16" s="25" t="s">
        <v>44</v>
      </c>
      <c r="L16" s="25"/>
      <c r="M16" s="25"/>
      <c r="N16" s="25"/>
      <c r="O16" s="25"/>
      <c r="P16" s="25"/>
      <c r="Q16" s="25"/>
      <c r="R16" s="25" t="s">
        <v>39</v>
      </c>
      <c r="S16" s="25">
        <v>4</v>
      </c>
      <c r="T16" s="25">
        <v>100</v>
      </c>
      <c r="U16" s="25">
        <v>12</v>
      </c>
      <c r="V16" s="26">
        <f>B33*1.18*0.75*95</f>
        <v>84.075</v>
      </c>
      <c r="W16" s="26"/>
      <c r="X16" s="26"/>
      <c r="Y16" s="26"/>
      <c r="Z16" s="26"/>
      <c r="AA16" s="26"/>
      <c r="AB16" s="26"/>
      <c r="AC16" s="26">
        <f>B33*1.18*0.75*190</f>
        <v>168.15</v>
      </c>
      <c r="AD16" s="26"/>
      <c r="AE16" s="26"/>
      <c r="AF16" s="26">
        <f>B33*1.18*0.75*100</f>
        <v>88.5</v>
      </c>
      <c r="AG16" s="26"/>
      <c r="AH16" s="26">
        <v>37100</v>
      </c>
      <c r="AI16" s="26"/>
      <c r="AJ16" s="27">
        <f>$B$33*1.18*3423</f>
        <v>4039.14</v>
      </c>
      <c r="AK16" s="27">
        <f>$B$33*1.18*0.75*3423</f>
        <v>3029.355</v>
      </c>
    </row>
    <row r="17" spans="1:37" ht="13.5" thickBot="1">
      <c r="A17" s="72"/>
      <c r="B17" s="8" t="s">
        <v>20</v>
      </c>
      <c r="C17" s="29"/>
      <c r="D17" s="29"/>
      <c r="E17" s="29"/>
      <c r="F17" s="29"/>
      <c r="G17" s="29" t="s">
        <v>44</v>
      </c>
      <c r="H17" s="29"/>
      <c r="I17" s="29"/>
      <c r="J17" s="29">
        <v>1</v>
      </c>
      <c r="K17" s="29" t="s">
        <v>44</v>
      </c>
      <c r="L17" s="29"/>
      <c r="M17" s="29"/>
      <c r="N17" s="29"/>
      <c r="O17" s="29"/>
      <c r="P17" s="29"/>
      <c r="Q17" s="29"/>
      <c r="R17" s="29"/>
      <c r="S17" s="29"/>
      <c r="T17" s="29">
        <v>100</v>
      </c>
      <c r="U17" s="29">
        <v>12</v>
      </c>
      <c r="V17" s="30">
        <f>B33*1.18*0.75*95</f>
        <v>84.075</v>
      </c>
      <c r="W17" s="30"/>
      <c r="X17" s="30"/>
      <c r="Y17" s="30"/>
      <c r="Z17" s="30"/>
      <c r="AA17" s="30"/>
      <c r="AB17" s="30"/>
      <c r="AC17" s="30">
        <f>B33*1.18*0.75*190</f>
        <v>168.15</v>
      </c>
      <c r="AD17" s="30"/>
      <c r="AE17" s="30"/>
      <c r="AF17" s="30">
        <f>B33*1.18*0.75*100</f>
        <v>88.5</v>
      </c>
      <c r="AG17" s="30"/>
      <c r="AH17" s="30">
        <v>37100</v>
      </c>
      <c r="AI17" s="30">
        <v>8000</v>
      </c>
      <c r="AJ17" s="31">
        <f>$B$33*1.18*3930</f>
        <v>4637.4</v>
      </c>
      <c r="AK17" s="31">
        <f>$B$33*1.18*0.75*3930</f>
        <v>3478.05</v>
      </c>
    </row>
    <row r="18" spans="1:37" ht="12.75">
      <c r="A18" s="73" t="s">
        <v>24</v>
      </c>
      <c r="B18" s="3" t="s">
        <v>25</v>
      </c>
      <c r="C18" s="32" t="s">
        <v>44</v>
      </c>
      <c r="D18" s="32"/>
      <c r="E18" s="32"/>
      <c r="F18" s="32" t="s">
        <v>44</v>
      </c>
      <c r="G18" s="32"/>
      <c r="H18" s="32"/>
      <c r="I18" s="32"/>
      <c r="J18" s="32">
        <v>1</v>
      </c>
      <c r="K18" s="32"/>
      <c r="L18" s="32"/>
      <c r="M18" s="32" t="s">
        <v>44</v>
      </c>
      <c r="N18" s="32"/>
      <c r="O18" s="32"/>
      <c r="P18" s="32"/>
      <c r="Q18" s="32" t="s">
        <v>44</v>
      </c>
      <c r="R18" s="32" t="s">
        <v>44</v>
      </c>
      <c r="S18" s="32">
        <v>4.5</v>
      </c>
      <c r="T18" s="32">
        <v>150</v>
      </c>
      <c r="U18" s="32">
        <v>14</v>
      </c>
      <c r="V18" s="33">
        <f>B33*1.18*0.75*95</f>
        <v>84.075</v>
      </c>
      <c r="W18" s="33"/>
      <c r="X18" s="33"/>
      <c r="Y18" s="33"/>
      <c r="Z18" s="33"/>
      <c r="AA18" s="33"/>
      <c r="AB18" s="33"/>
      <c r="AC18" s="33">
        <f>B33*1.18*0.75*190</f>
        <v>168.15</v>
      </c>
      <c r="AD18" s="33"/>
      <c r="AE18" s="33"/>
      <c r="AF18" s="33"/>
      <c r="AG18" s="33"/>
      <c r="AH18" s="33">
        <v>37100</v>
      </c>
      <c r="AI18" s="33"/>
      <c r="AJ18" s="4">
        <f>$B$33*1.18*4662</f>
        <v>5501.16</v>
      </c>
      <c r="AK18" s="4">
        <f>$B$33*1.18*0.75*4662</f>
        <v>4125.87</v>
      </c>
    </row>
    <row r="19" spans="1:37" ht="12.75">
      <c r="A19" s="74"/>
      <c r="B19" s="5" t="s">
        <v>26</v>
      </c>
      <c r="C19" s="34" t="s">
        <v>44</v>
      </c>
      <c r="D19" s="17"/>
      <c r="E19" s="17"/>
      <c r="F19" s="17" t="s">
        <v>44</v>
      </c>
      <c r="G19" s="17" t="s">
        <v>44</v>
      </c>
      <c r="H19" s="17" t="s">
        <v>44</v>
      </c>
      <c r="I19" s="17"/>
      <c r="J19" s="17">
        <v>1</v>
      </c>
      <c r="K19" s="17"/>
      <c r="L19" s="17"/>
      <c r="M19" s="17" t="s">
        <v>44</v>
      </c>
      <c r="N19" s="17"/>
      <c r="O19" s="17"/>
      <c r="P19" s="17"/>
      <c r="Q19" s="17" t="s">
        <v>44</v>
      </c>
      <c r="R19" s="17" t="s">
        <v>44</v>
      </c>
      <c r="S19" s="17"/>
      <c r="T19" s="17">
        <v>150</v>
      </c>
      <c r="U19" s="17">
        <v>14</v>
      </c>
      <c r="V19" s="18">
        <f>B33*1.18*0.75*95</f>
        <v>84.075</v>
      </c>
      <c r="W19" s="35"/>
      <c r="X19" s="35"/>
      <c r="Y19" s="35"/>
      <c r="Z19" s="35"/>
      <c r="AA19" s="35"/>
      <c r="AB19" s="35"/>
      <c r="AC19" s="35">
        <f>B33*1.18*0.75*190</f>
        <v>168.15</v>
      </c>
      <c r="AD19" s="35"/>
      <c r="AE19" s="35"/>
      <c r="AF19" s="18"/>
      <c r="AG19" s="18"/>
      <c r="AH19" s="18">
        <v>37100</v>
      </c>
      <c r="AI19" s="18">
        <v>8000</v>
      </c>
      <c r="AJ19" s="28">
        <f>$B$33*1.18*5397</f>
        <v>6368.46</v>
      </c>
      <c r="AK19" s="28">
        <f>$B$33*1.18*0.75*5397</f>
        <v>4776.345</v>
      </c>
    </row>
    <row r="20" spans="1:37" ht="12.75">
      <c r="A20" s="74"/>
      <c r="B20" s="36" t="s">
        <v>27</v>
      </c>
      <c r="C20" s="25" t="s">
        <v>44</v>
      </c>
      <c r="D20" s="25"/>
      <c r="E20" s="25"/>
      <c r="F20" s="25" t="s">
        <v>44</v>
      </c>
      <c r="G20" s="25"/>
      <c r="H20" s="25"/>
      <c r="I20" s="25"/>
      <c r="J20" s="25">
        <v>1</v>
      </c>
      <c r="K20" s="25"/>
      <c r="L20" s="25" t="s">
        <v>44</v>
      </c>
      <c r="M20" s="25" t="s">
        <v>44</v>
      </c>
      <c r="N20" s="25"/>
      <c r="O20" s="25"/>
      <c r="P20" s="25"/>
      <c r="Q20" s="25" t="s">
        <v>44</v>
      </c>
      <c r="R20" s="25" t="s">
        <v>44</v>
      </c>
      <c r="S20" s="25">
        <v>4.5</v>
      </c>
      <c r="T20" s="25">
        <v>150</v>
      </c>
      <c r="U20" s="25">
        <v>14</v>
      </c>
      <c r="V20" s="26">
        <f>B33*1.18*0.75*95</f>
        <v>84.075</v>
      </c>
      <c r="W20" s="37"/>
      <c r="X20" s="37"/>
      <c r="Y20" s="37"/>
      <c r="Z20" s="37"/>
      <c r="AA20" s="37"/>
      <c r="AB20" s="37"/>
      <c r="AC20" s="37">
        <f>B33*1.18*0.75*190</f>
        <v>168.15</v>
      </c>
      <c r="AD20" s="37"/>
      <c r="AE20" s="37"/>
      <c r="AF20" s="26"/>
      <c r="AG20" s="26"/>
      <c r="AH20" s="26">
        <v>37100</v>
      </c>
      <c r="AI20" s="26"/>
      <c r="AJ20" s="27">
        <f>$B$33*1.18*5155</f>
        <v>6082.9</v>
      </c>
      <c r="AK20" s="27">
        <f>$B$33*1.18*0.75*5155</f>
        <v>4562.175</v>
      </c>
    </row>
    <row r="21" spans="1:37" ht="12.75">
      <c r="A21" s="74"/>
      <c r="B21" s="5" t="s">
        <v>26</v>
      </c>
      <c r="C21" s="17" t="s">
        <v>44</v>
      </c>
      <c r="D21" s="17"/>
      <c r="E21" s="17"/>
      <c r="F21" s="17" t="s">
        <v>44</v>
      </c>
      <c r="G21" s="17" t="s">
        <v>44</v>
      </c>
      <c r="H21" s="17" t="s">
        <v>44</v>
      </c>
      <c r="I21" s="17"/>
      <c r="J21" s="17">
        <v>1</v>
      </c>
      <c r="K21" s="17"/>
      <c r="L21" s="17" t="s">
        <v>44</v>
      </c>
      <c r="M21" s="17" t="s">
        <v>44</v>
      </c>
      <c r="N21" s="17"/>
      <c r="O21" s="17"/>
      <c r="P21" s="17"/>
      <c r="Q21" s="17" t="s">
        <v>44</v>
      </c>
      <c r="R21" s="17" t="s">
        <v>44</v>
      </c>
      <c r="S21" s="17"/>
      <c r="T21" s="17">
        <v>150</v>
      </c>
      <c r="U21" s="17">
        <v>14</v>
      </c>
      <c r="V21" s="18">
        <f>B33*1.18*0.75*95</f>
        <v>84.075</v>
      </c>
      <c r="W21" s="35"/>
      <c r="X21" s="35"/>
      <c r="Y21" s="35"/>
      <c r="Z21" s="35"/>
      <c r="AA21" s="35"/>
      <c r="AB21" s="35"/>
      <c r="AC21" s="35">
        <f>B33*1.18*0.75*190</f>
        <v>168.15</v>
      </c>
      <c r="AD21" s="35"/>
      <c r="AE21" s="35"/>
      <c r="AF21" s="18"/>
      <c r="AG21" s="18"/>
      <c r="AH21" s="18">
        <v>37100</v>
      </c>
      <c r="AI21" s="18">
        <v>8000</v>
      </c>
      <c r="AJ21" s="28">
        <f>$B$33*1.18*5890</f>
        <v>6950.2</v>
      </c>
      <c r="AK21" s="28">
        <f>$B$33*1.18*0.75*5890</f>
        <v>5212.65</v>
      </c>
    </row>
    <row r="22" spans="1:37" ht="12.75">
      <c r="A22" s="74"/>
      <c r="B22" s="36" t="s">
        <v>28</v>
      </c>
      <c r="C22" s="25"/>
      <c r="D22" s="25"/>
      <c r="E22" s="25"/>
      <c r="F22" s="25" t="s">
        <v>44</v>
      </c>
      <c r="G22" s="25"/>
      <c r="H22" s="25"/>
      <c r="I22" s="25">
        <v>1</v>
      </c>
      <c r="J22" s="25"/>
      <c r="K22" s="25" t="s">
        <v>49</v>
      </c>
      <c r="L22" s="25"/>
      <c r="M22" s="25"/>
      <c r="N22" s="25"/>
      <c r="O22" s="25"/>
      <c r="P22" s="25"/>
      <c r="Q22" s="25" t="s">
        <v>44</v>
      </c>
      <c r="R22" s="25" t="s">
        <v>44</v>
      </c>
      <c r="S22" s="25">
        <v>4.5</v>
      </c>
      <c r="T22" s="25">
        <v>150</v>
      </c>
      <c r="U22" s="25">
        <v>14</v>
      </c>
      <c r="V22" s="26">
        <f>B33*1.18*0.75*95</f>
        <v>84.075</v>
      </c>
      <c r="W22" s="37"/>
      <c r="X22" s="37"/>
      <c r="Y22" s="37"/>
      <c r="Z22" s="37"/>
      <c r="AA22" s="37"/>
      <c r="AB22" s="37"/>
      <c r="AC22" s="37">
        <f>B33*1.18*0.75*190</f>
        <v>168.15</v>
      </c>
      <c r="AD22" s="37"/>
      <c r="AE22" s="37"/>
      <c r="AF22" s="26"/>
      <c r="AG22" s="26"/>
      <c r="AH22" s="26">
        <v>37100</v>
      </c>
      <c r="AI22" s="26"/>
      <c r="AJ22" s="27">
        <f>$B$33*1.18*4938</f>
        <v>5826.84</v>
      </c>
      <c r="AK22" s="27">
        <f>$B$33*1.18*0.75*4938</f>
        <v>4370.13</v>
      </c>
    </row>
    <row r="23" spans="1:37" ht="12.75">
      <c r="A23" s="74"/>
      <c r="B23" s="5" t="s">
        <v>29</v>
      </c>
      <c r="C23" s="17"/>
      <c r="D23" s="17"/>
      <c r="E23" s="17"/>
      <c r="F23" s="17" t="s">
        <v>44</v>
      </c>
      <c r="G23" s="17" t="s">
        <v>44</v>
      </c>
      <c r="H23" s="17"/>
      <c r="I23" s="17">
        <v>1</v>
      </c>
      <c r="J23" s="17"/>
      <c r="K23" s="17" t="s">
        <v>49</v>
      </c>
      <c r="L23" s="17"/>
      <c r="M23" s="17"/>
      <c r="N23" s="17"/>
      <c r="O23" s="17"/>
      <c r="P23" s="17"/>
      <c r="Q23" s="17" t="s">
        <v>44</v>
      </c>
      <c r="R23" s="17" t="s">
        <v>44</v>
      </c>
      <c r="S23" s="17"/>
      <c r="T23" s="17">
        <v>150</v>
      </c>
      <c r="U23" s="17">
        <v>14</v>
      </c>
      <c r="V23" s="18">
        <f>B33*1.18*0.75*95</f>
        <v>84.075</v>
      </c>
      <c r="W23" s="35"/>
      <c r="X23" s="35"/>
      <c r="Y23" s="35"/>
      <c r="Z23" s="35"/>
      <c r="AA23" s="35"/>
      <c r="AB23" s="35"/>
      <c r="AC23" s="35">
        <f>B33*1.18*0.75*190</f>
        <v>168.15</v>
      </c>
      <c r="AD23" s="35"/>
      <c r="AE23" s="35"/>
      <c r="AF23" s="18"/>
      <c r="AG23" s="18"/>
      <c r="AH23" s="18">
        <v>37100</v>
      </c>
      <c r="AI23" s="18">
        <v>8000</v>
      </c>
      <c r="AJ23" s="28">
        <f>$B$33*1.18*5427</f>
        <v>6403.86</v>
      </c>
      <c r="AK23" s="28">
        <f>$B$33*1.18*0.75*5427</f>
        <v>4802.895</v>
      </c>
    </row>
    <row r="24" spans="1:37" ht="12.75">
      <c r="A24" s="74"/>
      <c r="B24" s="36" t="s">
        <v>30</v>
      </c>
      <c r="C24" s="25" t="s">
        <v>44</v>
      </c>
      <c r="D24" s="25"/>
      <c r="E24" s="25"/>
      <c r="F24" s="25" t="s">
        <v>44</v>
      </c>
      <c r="G24" s="25"/>
      <c r="H24" s="25"/>
      <c r="I24" s="25"/>
      <c r="J24" s="25">
        <v>2</v>
      </c>
      <c r="K24" s="25"/>
      <c r="L24" s="25"/>
      <c r="M24" s="25" t="s">
        <v>44</v>
      </c>
      <c r="N24" s="25"/>
      <c r="O24" s="25"/>
      <c r="P24" s="25"/>
      <c r="Q24" s="25" t="s">
        <v>44</v>
      </c>
      <c r="R24" s="25" t="s">
        <v>44</v>
      </c>
      <c r="S24" s="25">
        <v>4.5</v>
      </c>
      <c r="T24" s="25">
        <v>150</v>
      </c>
      <c r="U24" s="25">
        <v>14</v>
      </c>
      <c r="V24" s="26">
        <f>B33*1.18*0.75*95</f>
        <v>84.075</v>
      </c>
      <c r="W24" s="37"/>
      <c r="X24" s="37"/>
      <c r="Y24" s="37"/>
      <c r="Z24" s="37"/>
      <c r="AA24" s="37"/>
      <c r="AB24" s="37"/>
      <c r="AC24" s="37">
        <f>B33*1.18*0.75*190</f>
        <v>168.15</v>
      </c>
      <c r="AD24" s="37"/>
      <c r="AE24" s="37"/>
      <c r="AF24" s="26"/>
      <c r="AG24" s="26"/>
      <c r="AH24" s="26">
        <v>37100</v>
      </c>
      <c r="AI24" s="26"/>
      <c r="AJ24" s="27">
        <f>$B$33*1.18*5053</f>
        <v>5962.54</v>
      </c>
      <c r="AK24" s="27">
        <f>$B$33*1.18*0.75*5053</f>
        <v>4471.905</v>
      </c>
    </row>
    <row r="25" spans="1:37" ht="12.75">
      <c r="A25" s="74"/>
      <c r="B25" s="5" t="s">
        <v>31</v>
      </c>
      <c r="C25" s="17" t="s">
        <v>44</v>
      </c>
      <c r="D25" s="17"/>
      <c r="E25" s="17"/>
      <c r="F25" s="17" t="s">
        <v>44</v>
      </c>
      <c r="G25" s="17" t="s">
        <v>44</v>
      </c>
      <c r="H25" s="17" t="s">
        <v>44</v>
      </c>
      <c r="I25" s="17"/>
      <c r="J25" s="17">
        <v>2</v>
      </c>
      <c r="K25" s="17"/>
      <c r="L25" s="17"/>
      <c r="M25" s="17" t="s">
        <v>44</v>
      </c>
      <c r="N25" s="17"/>
      <c r="O25" s="17"/>
      <c r="P25" s="17"/>
      <c r="Q25" s="17" t="s">
        <v>44</v>
      </c>
      <c r="R25" s="17" t="s">
        <v>44</v>
      </c>
      <c r="S25" s="17"/>
      <c r="T25" s="17">
        <v>150</v>
      </c>
      <c r="U25" s="17">
        <v>14</v>
      </c>
      <c r="V25" s="18">
        <f>B33*1.18*0.75*95</f>
        <v>84.075</v>
      </c>
      <c r="W25" s="35"/>
      <c r="X25" s="35"/>
      <c r="Y25" s="35"/>
      <c r="Z25" s="35"/>
      <c r="AA25" s="35"/>
      <c r="AB25" s="35"/>
      <c r="AC25" s="35">
        <f>B33*1.18*0.75*190</f>
        <v>168.15</v>
      </c>
      <c r="AD25" s="35"/>
      <c r="AE25" s="35"/>
      <c r="AF25" s="18"/>
      <c r="AG25" s="18"/>
      <c r="AH25" s="18">
        <v>37100</v>
      </c>
      <c r="AI25" s="18">
        <v>8000</v>
      </c>
      <c r="AJ25" s="28">
        <f>$B$33*1.18*5788</f>
        <v>6829.839999999999</v>
      </c>
      <c r="AK25" s="28">
        <f>$B$33*1.18*0.75*5788</f>
        <v>5122.38</v>
      </c>
    </row>
    <row r="26" spans="1:37" ht="12.75">
      <c r="A26" s="74"/>
      <c r="B26" s="36" t="s">
        <v>32</v>
      </c>
      <c r="C26" s="25" t="s">
        <v>44</v>
      </c>
      <c r="D26" s="25"/>
      <c r="E26" s="25"/>
      <c r="F26" s="25" t="s">
        <v>44</v>
      </c>
      <c r="G26" s="25"/>
      <c r="H26" s="25"/>
      <c r="I26" s="25"/>
      <c r="J26" s="25">
        <v>2</v>
      </c>
      <c r="K26" s="25"/>
      <c r="L26" s="25" t="s">
        <v>44</v>
      </c>
      <c r="M26" s="25" t="s">
        <v>44</v>
      </c>
      <c r="N26" s="25"/>
      <c r="O26" s="25"/>
      <c r="P26" s="25"/>
      <c r="Q26" s="25" t="s">
        <v>44</v>
      </c>
      <c r="R26" s="25" t="s">
        <v>44</v>
      </c>
      <c r="S26" s="25">
        <v>4.5</v>
      </c>
      <c r="T26" s="25">
        <v>150</v>
      </c>
      <c r="U26" s="25">
        <v>14</v>
      </c>
      <c r="V26" s="26">
        <f>B33*1.18*0.75*95</f>
        <v>84.075</v>
      </c>
      <c r="W26" s="37"/>
      <c r="X26" s="37"/>
      <c r="Y26" s="37"/>
      <c r="Z26" s="37"/>
      <c r="AA26" s="37"/>
      <c r="AB26" s="37"/>
      <c r="AC26" s="37">
        <f>B33*1.18*0.75*190</f>
        <v>168.15</v>
      </c>
      <c r="AD26" s="37"/>
      <c r="AE26" s="37"/>
      <c r="AF26" s="26"/>
      <c r="AG26" s="26"/>
      <c r="AH26" s="26">
        <v>37100</v>
      </c>
      <c r="AI26" s="26"/>
      <c r="AJ26" s="27">
        <f>$B$33*1.18*5546</f>
        <v>6544.28</v>
      </c>
      <c r="AK26" s="27">
        <f>$B$33*1.18*0.75*5546</f>
        <v>4908.21</v>
      </c>
    </row>
    <row r="27" spans="1:37" ht="13.5" thickBot="1">
      <c r="A27" s="75"/>
      <c r="B27" s="38" t="s">
        <v>33</v>
      </c>
      <c r="C27" s="29" t="s">
        <v>44</v>
      </c>
      <c r="D27" s="29"/>
      <c r="E27" s="29"/>
      <c r="F27" s="29" t="s">
        <v>44</v>
      </c>
      <c r="G27" s="29" t="s">
        <v>44</v>
      </c>
      <c r="H27" s="29" t="s">
        <v>44</v>
      </c>
      <c r="I27" s="29"/>
      <c r="J27" s="29">
        <v>2</v>
      </c>
      <c r="K27" s="29"/>
      <c r="L27" s="29" t="s">
        <v>44</v>
      </c>
      <c r="M27" s="29" t="s">
        <v>44</v>
      </c>
      <c r="N27" s="29"/>
      <c r="O27" s="29"/>
      <c r="P27" s="29"/>
      <c r="Q27" s="29" t="s">
        <v>44</v>
      </c>
      <c r="R27" s="29" t="s">
        <v>44</v>
      </c>
      <c r="S27" s="29"/>
      <c r="T27" s="29">
        <v>150</v>
      </c>
      <c r="U27" s="29">
        <v>14</v>
      </c>
      <c r="V27" s="30">
        <f>B33*1.18*0.75*95</f>
        <v>84.075</v>
      </c>
      <c r="W27" s="39"/>
      <c r="X27" s="39"/>
      <c r="Y27" s="39"/>
      <c r="Z27" s="39"/>
      <c r="AA27" s="39"/>
      <c r="AB27" s="39"/>
      <c r="AC27" s="39">
        <f>B33*1.18*0.75*190</f>
        <v>168.15</v>
      </c>
      <c r="AD27" s="39"/>
      <c r="AE27" s="39"/>
      <c r="AF27" s="30"/>
      <c r="AG27" s="30"/>
      <c r="AH27" s="30">
        <v>37100</v>
      </c>
      <c r="AI27" s="30">
        <v>8000</v>
      </c>
      <c r="AJ27" s="31">
        <f>$B$33*1.18*6281</f>
        <v>7411.58</v>
      </c>
      <c r="AK27" s="31">
        <f>$B$33*1.18*0.75*6281</f>
        <v>5558.685</v>
      </c>
    </row>
    <row r="28" spans="1:37" ht="12.75">
      <c r="A28" s="73" t="s">
        <v>34</v>
      </c>
      <c r="B28" s="40" t="s">
        <v>35</v>
      </c>
      <c r="C28" s="32" t="s">
        <v>44</v>
      </c>
      <c r="D28" s="32"/>
      <c r="E28" s="32"/>
      <c r="F28" s="32" t="s">
        <v>44</v>
      </c>
      <c r="G28" s="32"/>
      <c r="H28" s="32"/>
      <c r="I28" s="32"/>
      <c r="J28" s="32">
        <v>1</v>
      </c>
      <c r="K28" s="32"/>
      <c r="L28" s="32"/>
      <c r="M28" s="32"/>
      <c r="N28" s="32"/>
      <c r="O28" s="32" t="s">
        <v>44</v>
      </c>
      <c r="P28" s="32" t="s">
        <v>44</v>
      </c>
      <c r="Q28" s="32" t="s">
        <v>44</v>
      </c>
      <c r="R28" s="32" t="s">
        <v>44</v>
      </c>
      <c r="S28" s="32">
        <v>4.5</v>
      </c>
      <c r="T28" s="32">
        <v>180</v>
      </c>
      <c r="U28" s="32">
        <v>16</v>
      </c>
      <c r="V28" s="33">
        <f>B33*1.18*0.75*95</f>
        <v>84.075</v>
      </c>
      <c r="W28" s="33">
        <f>B33*1.18*0.75*460</f>
        <v>407.1</v>
      </c>
      <c r="X28" s="33"/>
      <c r="Y28" s="33"/>
      <c r="Z28" s="33"/>
      <c r="AA28" s="33"/>
      <c r="AB28" s="33">
        <f>B33*1.18*0.75*580</f>
        <v>513.3</v>
      </c>
      <c r="AC28" s="33">
        <f>B33*1.18*0.75*190</f>
        <v>168.15</v>
      </c>
      <c r="AD28" s="33">
        <f>B33*1.18*0.75*150</f>
        <v>132.75</v>
      </c>
      <c r="AE28" s="33">
        <f>B33*1.18*0.75*95</f>
        <v>84.075</v>
      </c>
      <c r="AF28" s="33"/>
      <c r="AG28" s="33"/>
      <c r="AH28" s="33">
        <v>37100</v>
      </c>
      <c r="AI28" s="33"/>
      <c r="AJ28" s="41">
        <f>$B$33*1.18*5850</f>
        <v>6903</v>
      </c>
      <c r="AK28" s="41">
        <f>$B$33*1.18*0.75*5850</f>
        <v>5177.25</v>
      </c>
    </row>
    <row r="29" spans="1:37" ht="12.75">
      <c r="A29" s="74"/>
      <c r="B29" s="5" t="s">
        <v>36</v>
      </c>
      <c r="C29" s="17" t="s">
        <v>44</v>
      </c>
      <c r="D29" s="17"/>
      <c r="E29" s="17"/>
      <c r="F29" s="17" t="s">
        <v>44</v>
      </c>
      <c r="G29" s="17" t="s">
        <v>44</v>
      </c>
      <c r="H29" s="17" t="s">
        <v>44</v>
      </c>
      <c r="I29" s="17"/>
      <c r="J29" s="17">
        <v>1</v>
      </c>
      <c r="K29" s="17"/>
      <c r="L29" s="17"/>
      <c r="M29" s="17"/>
      <c r="N29" s="17"/>
      <c r="O29" s="17" t="s">
        <v>44</v>
      </c>
      <c r="P29" s="17" t="s">
        <v>44</v>
      </c>
      <c r="Q29" s="17" t="s">
        <v>44</v>
      </c>
      <c r="R29" s="17" t="s">
        <v>44</v>
      </c>
      <c r="S29" s="17"/>
      <c r="T29" s="17">
        <v>180</v>
      </c>
      <c r="U29" s="17">
        <v>16</v>
      </c>
      <c r="V29" s="18">
        <f>B33*1.18*0.75*95</f>
        <v>84.075</v>
      </c>
      <c r="W29" s="35">
        <f>B33*1.18*0.75*460</f>
        <v>407.1</v>
      </c>
      <c r="X29" s="35"/>
      <c r="Y29" s="35"/>
      <c r="Z29" s="35"/>
      <c r="AA29" s="35"/>
      <c r="AB29" s="35">
        <f>B33*1.18*0.75*580</f>
        <v>513.3</v>
      </c>
      <c r="AC29" s="35">
        <f>B33*1.18*0.75*190</f>
        <v>168.15</v>
      </c>
      <c r="AD29" s="35">
        <f>B33*1.18*0.75*150</f>
        <v>132.75</v>
      </c>
      <c r="AE29" s="35">
        <f>B33*1.18*0.75*95</f>
        <v>84.075</v>
      </c>
      <c r="AF29" s="18"/>
      <c r="AG29" s="18"/>
      <c r="AH29" s="18">
        <v>37100</v>
      </c>
      <c r="AI29" s="18"/>
      <c r="AJ29" s="28">
        <f>$B$33*1.18*6600</f>
        <v>7788</v>
      </c>
      <c r="AK29" s="28">
        <f>$B$33*1.18*0.75*6600</f>
        <v>5841</v>
      </c>
    </row>
    <row r="30" spans="1:37" ht="13.5" thickBot="1">
      <c r="A30" s="75"/>
      <c r="B30" s="42" t="s">
        <v>37</v>
      </c>
      <c r="C30" s="43"/>
      <c r="D30" s="43" t="s">
        <v>44</v>
      </c>
      <c r="E30" s="43"/>
      <c r="F30" s="43" t="s">
        <v>44</v>
      </c>
      <c r="G30" s="43" t="s">
        <v>44</v>
      </c>
      <c r="H30" s="43"/>
      <c r="I30" s="43"/>
      <c r="J30" s="43">
        <v>1</v>
      </c>
      <c r="K30" s="43"/>
      <c r="L30" s="43"/>
      <c r="M30" s="43"/>
      <c r="N30" s="43" t="s">
        <v>44</v>
      </c>
      <c r="O30" s="43" t="s">
        <v>44</v>
      </c>
      <c r="P30" s="43" t="s">
        <v>44</v>
      </c>
      <c r="Q30" s="43" t="s">
        <v>44</v>
      </c>
      <c r="R30" s="43" t="s">
        <v>44</v>
      </c>
      <c r="S30" s="43"/>
      <c r="T30" s="43">
        <v>180</v>
      </c>
      <c r="U30" s="43">
        <v>16</v>
      </c>
      <c r="V30" s="44">
        <f>B33*1.18*0.75*95</f>
        <v>84.075</v>
      </c>
      <c r="W30" s="45">
        <f>B33*1.18*0.75*460</f>
        <v>407.1</v>
      </c>
      <c r="X30" s="45"/>
      <c r="Y30" s="45"/>
      <c r="Z30" s="45"/>
      <c r="AA30" s="45"/>
      <c r="AB30" s="45">
        <f>B33*1.18*0.75*580</f>
        <v>513.3</v>
      </c>
      <c r="AC30" s="45">
        <f>B33*1.18*0.75*190</f>
        <v>168.15</v>
      </c>
      <c r="AD30" s="45">
        <f>B33*1.18*0.75*150</f>
        <v>132.75</v>
      </c>
      <c r="AE30" s="45">
        <f>B33*1.18*0.75*95</f>
        <v>84.075</v>
      </c>
      <c r="AF30" s="44"/>
      <c r="AG30" s="44"/>
      <c r="AH30" s="44">
        <v>37100</v>
      </c>
      <c r="AI30" s="44"/>
      <c r="AJ30" s="46">
        <f>$B$33*1.18*6750</f>
        <v>7965</v>
      </c>
      <c r="AK30" s="46">
        <f>$B$33*1.18*0.75*6750</f>
        <v>5973.75</v>
      </c>
    </row>
    <row r="31" spans="1:37" ht="12.75">
      <c r="A31" s="73" t="s">
        <v>40</v>
      </c>
      <c r="B31" s="9" t="s">
        <v>42</v>
      </c>
      <c r="C31" s="22"/>
      <c r="D31" s="22"/>
      <c r="E31" s="22"/>
      <c r="F31" s="22"/>
      <c r="G31" s="22" t="s">
        <v>44</v>
      </c>
      <c r="H31" s="22"/>
      <c r="I31" s="22"/>
      <c r="J31" s="22">
        <v>1</v>
      </c>
      <c r="K31" s="22"/>
      <c r="L31" s="22"/>
      <c r="M31" s="22"/>
      <c r="N31" s="22"/>
      <c r="O31" s="22"/>
      <c r="P31" s="22"/>
      <c r="Q31" s="22">
        <f>B33*1.18*0.75*175</f>
        <v>154.875</v>
      </c>
      <c r="R31" s="22" t="s">
        <v>44</v>
      </c>
      <c r="S31" s="22"/>
      <c r="T31" s="22">
        <v>180</v>
      </c>
      <c r="U31" s="22">
        <v>16</v>
      </c>
      <c r="V31" s="23">
        <f>B33*1.18*0.75*95</f>
        <v>84.075</v>
      </c>
      <c r="W31" s="23">
        <f>B33*1.18*0.75*595</f>
        <v>526.575</v>
      </c>
      <c r="X31" s="23">
        <f>B33*1.18*0.75*710</f>
        <v>628.35</v>
      </c>
      <c r="Y31" s="23">
        <f>B33*1.18*0.75*710</f>
        <v>628.35</v>
      </c>
      <c r="Z31" s="23">
        <f>B33*1.18*0.75*855</f>
        <v>756.675</v>
      </c>
      <c r="AA31" s="23">
        <f>B33*1.18*0.75*855</f>
        <v>756.675</v>
      </c>
      <c r="AB31" s="23"/>
      <c r="AC31" s="23">
        <f>B33*1.18*0.75*190</f>
        <v>168.15</v>
      </c>
      <c r="AD31" s="23"/>
      <c r="AE31" s="23"/>
      <c r="AF31" s="23"/>
      <c r="AG31" s="23"/>
      <c r="AH31" s="23">
        <v>37100</v>
      </c>
      <c r="AI31" s="23">
        <v>8000</v>
      </c>
      <c r="AJ31" s="24">
        <f>$B$33*1.18*5910</f>
        <v>6973.799999999999</v>
      </c>
      <c r="AK31" s="24">
        <f>$B$33*1.18*0.75*5910</f>
        <v>5230.35</v>
      </c>
    </row>
    <row r="32" spans="1:37" ht="39" thickBot="1">
      <c r="A32" s="75"/>
      <c r="B32" s="42" t="s">
        <v>41</v>
      </c>
      <c r="C32" s="43" t="s">
        <v>44</v>
      </c>
      <c r="D32" s="43"/>
      <c r="E32" s="43">
        <f>B33*1.18*0.75*795</f>
        <v>703.575</v>
      </c>
      <c r="F32" s="43"/>
      <c r="G32" s="43" t="s">
        <v>44</v>
      </c>
      <c r="H32" s="43">
        <f>B33*1.18*0.75*290</f>
        <v>256.65</v>
      </c>
      <c r="I32" s="43"/>
      <c r="J32" s="43">
        <v>1</v>
      </c>
      <c r="K32" s="43"/>
      <c r="L32" s="43"/>
      <c r="M32" s="43" t="s">
        <v>45</v>
      </c>
      <c r="N32" s="43"/>
      <c r="O32" s="43"/>
      <c r="P32" s="43"/>
      <c r="Q32" s="43">
        <f>B33*1.18*0.75*175</f>
        <v>154.875</v>
      </c>
      <c r="R32" s="43" t="s">
        <v>44</v>
      </c>
      <c r="S32" s="43"/>
      <c r="T32" s="43">
        <v>180</v>
      </c>
      <c r="U32" s="43">
        <v>16</v>
      </c>
      <c r="V32" s="44">
        <f>B33*1.18*0.75*95</f>
        <v>84.075</v>
      </c>
      <c r="W32" s="44">
        <f>B33*1.18*0.75*595</f>
        <v>526.575</v>
      </c>
      <c r="X32" s="44">
        <f>B33*1.18*0.75*710</f>
        <v>628.35</v>
      </c>
      <c r="Y32" s="44"/>
      <c r="Z32" s="44">
        <f>B33*1.18*0.75*855</f>
        <v>756.675</v>
      </c>
      <c r="AA32" s="44"/>
      <c r="AB32" s="44"/>
      <c r="AC32" s="44">
        <f>B33*1.18*0.75*190</f>
        <v>168.15</v>
      </c>
      <c r="AD32" s="44"/>
      <c r="AE32" s="44"/>
      <c r="AF32" s="44"/>
      <c r="AG32" s="44"/>
      <c r="AH32" s="44">
        <v>37100</v>
      </c>
      <c r="AI32" s="44">
        <v>8000</v>
      </c>
      <c r="AJ32" s="46">
        <f>$B$33*1.18*6470</f>
        <v>7634.599999999999</v>
      </c>
      <c r="AK32" s="46">
        <f>$B$33*1.18*0.75*6470</f>
        <v>5725.95</v>
      </c>
    </row>
    <row r="33" spans="1:37" s="10" customFormat="1" ht="12.75">
      <c r="A33" s="55" t="s">
        <v>43</v>
      </c>
      <c r="B33" s="55">
        <v>1</v>
      </c>
      <c r="C33" s="55" t="s">
        <v>57</v>
      </c>
      <c r="AJ33" s="47"/>
      <c r="AK33" s="47"/>
    </row>
    <row r="34" spans="1:37" s="10" customFormat="1" ht="12.75">
      <c r="A34" s="69" t="s">
        <v>52</v>
      </c>
      <c r="B34" s="69"/>
      <c r="T34" s="10" t="s">
        <v>39</v>
      </c>
      <c r="AJ34" s="47"/>
      <c r="AK34" s="47"/>
    </row>
    <row r="35" spans="1:37" s="10" customFormat="1" ht="12.75">
      <c r="A35" s="48" t="s">
        <v>47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AJ35" s="47"/>
      <c r="AK35" s="47"/>
    </row>
    <row r="36" spans="1:37" s="10" customFormat="1" ht="12.75">
      <c r="A36" s="48" t="s">
        <v>46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AJ36" s="47"/>
      <c r="AK36" s="47"/>
    </row>
    <row r="37" spans="1:36" s="10" customFormat="1" ht="12.75">
      <c r="A37" s="48" t="s">
        <v>48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AJ37" s="47"/>
    </row>
    <row r="38" spans="1:36" s="10" customFormat="1" ht="12.75">
      <c r="A38" s="49" t="s">
        <v>50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AJ38" s="47"/>
    </row>
    <row r="39" spans="1:36" s="10" customFormat="1" ht="12.75">
      <c r="A39" s="49" t="s">
        <v>53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AJ39" s="47"/>
    </row>
    <row r="40" spans="1:36" s="10" customFormat="1" ht="12.75">
      <c r="A40" s="49" t="s">
        <v>51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AJ40" s="47"/>
    </row>
    <row r="41" spans="1:37" s="10" customFormat="1" ht="12.75">
      <c r="A41" s="49" t="s">
        <v>59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AF41" s="50"/>
      <c r="AG41" s="50"/>
      <c r="AH41" s="50"/>
      <c r="AK41" s="47"/>
    </row>
    <row r="42" spans="1:37" s="10" customFormat="1" ht="12.75">
      <c r="A42" s="49" t="s">
        <v>58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AF42" s="48"/>
      <c r="AG42" s="48"/>
      <c r="AH42" s="48"/>
      <c r="AK42" s="47"/>
    </row>
    <row r="43" spans="1:37" s="10" customFormat="1" ht="18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AF43" s="48"/>
      <c r="AK43" s="51"/>
    </row>
    <row r="44" spans="1:36" s="10" customFormat="1" ht="18">
      <c r="A44" s="58" t="s">
        <v>89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AJ44" s="51"/>
    </row>
    <row r="45" spans="1:37" s="10" customFormat="1" ht="18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AJ45" s="51"/>
      <c r="AK45" s="51"/>
    </row>
    <row r="46" spans="1:37" s="10" customFormat="1" ht="18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AJ46" s="51"/>
      <c r="AK46" s="51"/>
    </row>
    <row r="47" spans="1:37" s="10" customFormat="1" ht="18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AJ47" s="51"/>
      <c r="AK47" s="51"/>
    </row>
    <row r="48" spans="1:37" s="10" customFormat="1" ht="18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AJ48" s="51"/>
      <c r="AK48" s="51"/>
    </row>
    <row r="49" spans="1:37" s="10" customFormat="1" ht="18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AJ49" s="51"/>
      <c r="AK49" s="51"/>
    </row>
    <row r="50" spans="1:37" s="10" customFormat="1" ht="18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AJ50" s="51"/>
      <c r="AK50" s="51"/>
    </row>
    <row r="51" spans="1:37" s="10" customFormat="1" ht="18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AJ51" s="51"/>
      <c r="AK51" s="51"/>
    </row>
    <row r="52" spans="36:37" s="10" customFormat="1" ht="18">
      <c r="AJ52" s="51"/>
      <c r="AK52" s="51"/>
    </row>
    <row r="53" spans="36:37" s="10" customFormat="1" ht="18">
      <c r="AJ53" s="51"/>
      <c r="AK53" s="51"/>
    </row>
    <row r="54" spans="36:37" s="10" customFormat="1" ht="18">
      <c r="AJ54" s="51"/>
      <c r="AK54" s="51"/>
    </row>
    <row r="55" spans="36:37" s="10" customFormat="1" ht="18">
      <c r="AJ55" s="51"/>
      <c r="AK55" s="51"/>
    </row>
    <row r="56" spans="36:37" s="10" customFormat="1" ht="18">
      <c r="AJ56" s="51"/>
      <c r="AK56" s="51"/>
    </row>
    <row r="57" spans="36:37" s="10" customFormat="1" ht="18">
      <c r="AJ57" s="51"/>
      <c r="AK57" s="51"/>
    </row>
  </sheetData>
  <sheetProtection/>
  <mergeCells count="28">
    <mergeCell ref="AK3:AK4"/>
    <mergeCell ref="A34:B34"/>
    <mergeCell ref="A7:A17"/>
    <mergeCell ref="A18:A27"/>
    <mergeCell ref="A28:A30"/>
    <mergeCell ref="I3:I4"/>
    <mergeCell ref="N3:N4"/>
    <mergeCell ref="A31:A32"/>
    <mergeCell ref="G3:G4"/>
    <mergeCell ref="H3:H4"/>
    <mergeCell ref="O3:O4"/>
    <mergeCell ref="A3:A4"/>
    <mergeCell ref="B3:B4"/>
    <mergeCell ref="C3:E3"/>
    <mergeCell ref="J3:J4"/>
    <mergeCell ref="F3:F4"/>
    <mergeCell ref="K3:K4"/>
    <mergeCell ref="L3:L4"/>
    <mergeCell ref="B1:H1"/>
    <mergeCell ref="T3:T4"/>
    <mergeCell ref="M3:M4"/>
    <mergeCell ref="U3:U4"/>
    <mergeCell ref="AJ3:AJ4"/>
    <mergeCell ref="V3:AI3"/>
    <mergeCell ref="P3:P4"/>
    <mergeCell ref="Q3:Q4"/>
    <mergeCell ref="S3:S4"/>
    <mergeCell ref="R3:R4"/>
  </mergeCells>
  <printOptions/>
  <pageMargins left="0.59" right="0.1968503937007874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user</cp:lastModifiedBy>
  <cp:lastPrinted>2014-11-11T18:39:57Z</cp:lastPrinted>
  <dcterms:created xsi:type="dcterms:W3CDTF">2014-09-22T16:21:36Z</dcterms:created>
  <dcterms:modified xsi:type="dcterms:W3CDTF">2014-11-11T18:55:07Z</dcterms:modified>
  <cp:category/>
  <cp:version/>
  <cp:contentType/>
  <cp:contentStatus/>
</cp:coreProperties>
</file>